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6" i="1"/>
  <c r="H26"/>
  <c r="I26" s="1"/>
  <c r="H23"/>
  <c r="F23"/>
  <c r="H22"/>
  <c r="E22"/>
  <c r="H20"/>
  <c r="E20"/>
  <c r="H19"/>
  <c r="F19"/>
  <c r="E16"/>
  <c r="H15"/>
  <c r="F15"/>
  <c r="H14"/>
  <c r="E14"/>
  <c r="F13"/>
  <c r="H12"/>
  <c r="E12"/>
  <c r="H11"/>
  <c r="I10"/>
  <c r="H10"/>
  <c r="G10"/>
  <c r="E10"/>
  <c r="H9"/>
  <c r="H18" s="1"/>
  <c r="F10" l="1"/>
  <c r="F11"/>
  <c r="G12"/>
  <c r="I12"/>
  <c r="I13"/>
  <c r="G14"/>
  <c r="I14"/>
  <c r="I15"/>
  <c r="G16"/>
  <c r="I19"/>
  <c r="G20"/>
  <c r="I20"/>
  <c r="G22"/>
  <c r="I22"/>
  <c r="I23"/>
  <c r="I18"/>
  <c r="E18"/>
  <c r="H24"/>
  <c r="F18"/>
  <c r="G18"/>
  <c r="H21"/>
  <c r="E11"/>
  <c r="E9" s="1"/>
  <c r="G11"/>
  <c r="G9" s="1"/>
  <c r="I11"/>
  <c r="F12"/>
  <c r="F9" s="1"/>
  <c r="E13"/>
  <c r="G13"/>
  <c r="F14"/>
  <c r="E15"/>
  <c r="G15"/>
  <c r="F16"/>
  <c r="I16"/>
  <c r="I17"/>
  <c r="E19"/>
  <c r="G19"/>
  <c r="F20"/>
  <c r="F22"/>
  <c r="E23"/>
  <c r="G23"/>
  <c r="I9" l="1"/>
  <c r="F21"/>
  <c r="G21"/>
  <c r="I24"/>
  <c r="G24"/>
  <c r="G27" s="1"/>
  <c r="E24"/>
  <c r="E27" s="1"/>
  <c r="H27"/>
  <c r="F24"/>
  <c r="F27" s="1"/>
  <c r="I21"/>
  <c r="E21"/>
  <c r="E17" l="1"/>
  <c r="F17"/>
  <c r="G17"/>
  <c r="G29"/>
  <c r="G30"/>
  <c r="F30"/>
  <c r="F31" s="1"/>
  <c r="F29"/>
  <c r="E29"/>
  <c r="E32" s="1"/>
  <c r="E33" s="1"/>
  <c r="E30"/>
  <c r="E31" s="1"/>
  <c r="F32" l="1"/>
  <c r="F33" s="1"/>
  <c r="H33" s="1"/>
  <c r="G31"/>
  <c r="G32"/>
  <c r="G33" s="1"/>
</calcChain>
</file>

<file path=xl/sharedStrings.xml><?xml version="1.0" encoding="utf-8"?>
<sst xmlns="http://schemas.openxmlformats.org/spreadsheetml/2006/main" count="67" uniqueCount="48">
  <si>
    <t xml:space="preserve">                 Розрахунок</t>
  </si>
  <si>
    <t xml:space="preserve">                                       планових  тарифів на збір та вивезення твердих </t>
  </si>
  <si>
    <t xml:space="preserve">                                        побутових відходів (ТПВ) по м.Боярка </t>
  </si>
  <si>
    <t>(грн.)</t>
  </si>
  <si>
    <t>Одиниця</t>
  </si>
  <si>
    <t xml:space="preserve">Категорії споживачів </t>
  </si>
  <si>
    <t>Всього</t>
  </si>
  <si>
    <t xml:space="preserve">Статті витрат </t>
  </si>
  <si>
    <t>виміру</t>
  </si>
  <si>
    <t>І</t>
  </si>
  <si>
    <t>ІІ</t>
  </si>
  <si>
    <t>ІІІ</t>
  </si>
  <si>
    <t>витрат</t>
  </si>
  <si>
    <t xml:space="preserve">витрат </t>
  </si>
  <si>
    <t>Населення</t>
  </si>
  <si>
    <t>Бюджет</t>
  </si>
  <si>
    <t>Інші</t>
  </si>
  <si>
    <t>на 1 м3</t>
  </si>
  <si>
    <t>Матеріали всього:</t>
  </si>
  <si>
    <t>грн.</t>
  </si>
  <si>
    <t>в т.р.: а)витрати на полігон</t>
  </si>
  <si>
    <t xml:space="preserve">             б)паливно-мастильні</t>
  </si>
  <si>
    <t xml:space="preserve">             в)матеріали, запчастини, мшп</t>
  </si>
  <si>
    <t>Амортизація</t>
  </si>
  <si>
    <t>Заробітна плата</t>
  </si>
  <si>
    <t>Нарахування на зарплату 22%</t>
  </si>
  <si>
    <t>Послуги сторонніх організацій з ремонту та обслуговування автомобілів</t>
  </si>
  <si>
    <t>Інші витрати</t>
  </si>
  <si>
    <t>Всього прямих витрат:</t>
  </si>
  <si>
    <t>Накладні  витрати   в т.р.:</t>
  </si>
  <si>
    <t>а)загальновиробничі витрати</t>
  </si>
  <si>
    <t>Всього прямих витрат з загальновиробн.:</t>
  </si>
  <si>
    <t>б)адміністративні витрати</t>
  </si>
  <si>
    <t>в)витрати на збут</t>
  </si>
  <si>
    <t>Всього витрат по собівартості:</t>
  </si>
  <si>
    <t>грн</t>
  </si>
  <si>
    <t>Плановий об'єм ТПВ</t>
  </si>
  <si>
    <t>м3</t>
  </si>
  <si>
    <t>Собівартість  1 м3 ТПВ</t>
  </si>
  <si>
    <t>грн/м3</t>
  </si>
  <si>
    <t xml:space="preserve">Рентабельність </t>
  </si>
  <si>
    <t>%%</t>
  </si>
  <si>
    <t>Сума рентабельності</t>
  </si>
  <si>
    <t>грн./м3</t>
  </si>
  <si>
    <t xml:space="preserve"> Тариф за 1 м3  без ПДВ</t>
  </si>
  <si>
    <t xml:space="preserve"> ПДВ 20 %</t>
  </si>
  <si>
    <t xml:space="preserve"> Тариф за 1 м3  з ПДВ</t>
  </si>
  <si>
    <t>Повна вартість з ПДВ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</si>
</sst>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12" xfId="0" applyFont="1" applyFill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2" fontId="1" fillId="0" borderId="17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0" fontId="0" fillId="0" borderId="31" xfId="0" applyBorder="1"/>
    <xf numFmtId="2" fontId="1" fillId="0" borderId="22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4"/>
  <sheetViews>
    <sheetView tabSelected="1" workbookViewId="0">
      <selection activeCell="L26" sqref="L26"/>
    </sheetView>
  </sheetViews>
  <sheetFormatPr defaultRowHeight="14.5"/>
  <cols>
    <col min="3" max="3" width="19.7265625" customWidth="1"/>
    <col min="4" max="4" width="10.36328125" customWidth="1"/>
    <col min="5" max="5" width="12.1796875" customWidth="1"/>
    <col min="6" max="6" width="12.6328125" customWidth="1"/>
    <col min="7" max="7" width="12.90625" customWidth="1"/>
    <col min="8" max="8" width="11.6328125" customWidth="1"/>
    <col min="9" max="9" width="11.1796875" customWidth="1"/>
  </cols>
  <sheetData>
    <row r="2" spans="1:9" ht="15.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5.5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ht="15.5">
      <c r="A4" s="1" t="s">
        <v>2</v>
      </c>
      <c r="B4" s="1"/>
      <c r="C4" s="1"/>
      <c r="D4" s="1"/>
      <c r="E4" s="1"/>
      <c r="F4" s="1"/>
      <c r="G4" s="1"/>
      <c r="H4" s="1"/>
      <c r="I4" s="1"/>
    </row>
    <row r="5" spans="1:9" ht="15" thickBot="1">
      <c r="I5" s="2" t="s">
        <v>3</v>
      </c>
    </row>
    <row r="6" spans="1:9">
      <c r="A6" s="3"/>
      <c r="B6" s="4"/>
      <c r="C6" s="5"/>
      <c r="D6" s="6" t="s">
        <v>4</v>
      </c>
      <c r="E6" s="7" t="s">
        <v>5</v>
      </c>
      <c r="F6" s="8"/>
      <c r="G6" s="9"/>
      <c r="H6" s="6" t="s">
        <v>6</v>
      </c>
      <c r="I6" s="10" t="s">
        <v>6</v>
      </c>
    </row>
    <row r="7" spans="1:9">
      <c r="A7" s="11" t="s">
        <v>7</v>
      </c>
      <c r="B7" s="12"/>
      <c r="C7" s="13"/>
      <c r="D7" s="14" t="s">
        <v>8</v>
      </c>
      <c r="E7" s="15" t="s">
        <v>9</v>
      </c>
      <c r="F7" s="15" t="s">
        <v>10</v>
      </c>
      <c r="G7" s="15" t="s">
        <v>11</v>
      </c>
      <c r="H7" s="14" t="s">
        <v>12</v>
      </c>
      <c r="I7" s="16" t="s">
        <v>13</v>
      </c>
    </row>
    <row r="8" spans="1:9">
      <c r="A8" s="17"/>
      <c r="B8" s="18"/>
      <c r="C8" s="19"/>
      <c r="D8" s="20"/>
      <c r="E8" s="20" t="s">
        <v>14</v>
      </c>
      <c r="F8" s="20" t="s">
        <v>15</v>
      </c>
      <c r="G8" s="20" t="s">
        <v>16</v>
      </c>
      <c r="H8" s="20"/>
      <c r="I8" s="21" t="s">
        <v>17</v>
      </c>
    </row>
    <row r="9" spans="1:9">
      <c r="A9" s="22" t="s">
        <v>18</v>
      </c>
      <c r="B9" s="23"/>
      <c r="C9" s="24"/>
      <c r="D9" s="25" t="s">
        <v>19</v>
      </c>
      <c r="E9" s="26">
        <f>E10+E11+E12</f>
        <v>2307525.0408614813</v>
      </c>
      <c r="F9" s="26">
        <f>F10+F11+F12</f>
        <v>168259.59959208875</v>
      </c>
      <c r="G9" s="26">
        <f>G10+G11+G12</f>
        <v>386799.65287976339</v>
      </c>
      <c r="H9" s="26">
        <f>H10+H11+H12</f>
        <v>2862584.2933333335</v>
      </c>
      <c r="I9" s="27">
        <f>I10+I11+I12</f>
        <v>25.188336570642893</v>
      </c>
    </row>
    <row r="10" spans="1:9">
      <c r="A10" s="28" t="s">
        <v>20</v>
      </c>
      <c r="B10" s="29"/>
      <c r="C10" s="30"/>
      <c r="D10" s="31" t="s">
        <v>19</v>
      </c>
      <c r="E10" s="32">
        <f>H10/H26*E26</f>
        <v>758904.0892732956</v>
      </c>
      <c r="F10" s="32">
        <f>H10/H26*F26</f>
        <v>55337.600211805802</v>
      </c>
      <c r="G10" s="32">
        <f>H10/H26*G26</f>
        <v>127211.55051489857</v>
      </c>
      <c r="H10" s="26">
        <f>470726.62*2</f>
        <v>941453.24</v>
      </c>
      <c r="I10" s="33">
        <f>H10/H26</f>
        <v>8.2839974808318786</v>
      </c>
    </row>
    <row r="11" spans="1:9">
      <c r="A11" s="28" t="s">
        <v>21</v>
      </c>
      <c r="B11" s="29"/>
      <c r="C11" s="30"/>
      <c r="D11" s="31" t="s">
        <v>19</v>
      </c>
      <c r="E11" s="32">
        <f>H11/H26*E26</f>
        <v>1445186.4379657558</v>
      </c>
      <c r="F11" s="32">
        <f>H11/H26*F26</f>
        <v>105379.7844365981</v>
      </c>
      <c r="G11" s="32">
        <f>H11/H26*G26</f>
        <v>242249.85759764601</v>
      </c>
      <c r="H11" s="26">
        <f>((7941*16.5)*12)+((909*9)*12)+(((269*32.92)+(33*35)+(8*22.92))*12)</f>
        <v>1792816.08</v>
      </c>
      <c r="I11" s="33">
        <f>H11/H26</f>
        <v>15.775275137737998</v>
      </c>
    </row>
    <row r="12" spans="1:9">
      <c r="A12" s="28" t="s">
        <v>22</v>
      </c>
      <c r="B12" s="29"/>
      <c r="C12" s="30"/>
      <c r="D12" s="31" t="s">
        <v>19</v>
      </c>
      <c r="E12" s="32">
        <f>H12/H26*E26</f>
        <v>103434.51362242967</v>
      </c>
      <c r="F12" s="32">
        <f>H12/H26*F26</f>
        <v>7542.2149436848531</v>
      </c>
      <c r="G12" s="32">
        <f>H12/H26*G26</f>
        <v>17338.244767218814</v>
      </c>
      <c r="H12" s="26">
        <f>(((2782.33+3164.33)/18)*12)+(((53310.45+117845.21)/18)*12)+10246.76</f>
        <v>128314.97333333334</v>
      </c>
      <c r="I12" s="33">
        <f>H12/H26</f>
        <v>1.1290639520730132</v>
      </c>
    </row>
    <row r="13" spans="1:9">
      <c r="A13" s="22" t="s">
        <v>23</v>
      </c>
      <c r="B13" s="23"/>
      <c r="C13" s="24"/>
      <c r="D13" s="34" t="s">
        <v>19</v>
      </c>
      <c r="E13" s="26">
        <f>H13/H26*E26</f>
        <v>566850.53800901189</v>
      </c>
      <c r="F13" s="26">
        <f>H13/H26*F26</f>
        <v>41333.481918943078</v>
      </c>
      <c r="G13" s="26">
        <f>H13/H26*G26</f>
        <v>95018.510072045086</v>
      </c>
      <c r="H13" s="26">
        <v>703202.53</v>
      </c>
      <c r="I13" s="27">
        <f>H13/H26</f>
        <v>6.1875914166853407</v>
      </c>
    </row>
    <row r="14" spans="1:9">
      <c r="A14" s="35" t="s">
        <v>24</v>
      </c>
      <c r="B14" s="36"/>
      <c r="C14" s="37"/>
      <c r="D14" s="38" t="s">
        <v>19</v>
      </c>
      <c r="E14" s="39">
        <f>H14/H26*E26</f>
        <v>891611.96416722925</v>
      </c>
      <c r="F14" s="39">
        <f>H14/H26*F26</f>
        <v>65014.363625837461</v>
      </c>
      <c r="G14" s="39">
        <f>H14/H26*G26</f>
        <v>149456.75220693342</v>
      </c>
      <c r="H14" s="26">
        <f>92173.59*12</f>
        <v>1106083.08</v>
      </c>
      <c r="I14" s="27">
        <f>H14/H26</f>
        <v>9.7326017469659636</v>
      </c>
    </row>
    <row r="15" spans="1:9">
      <c r="A15" s="35" t="s">
        <v>25</v>
      </c>
      <c r="B15" s="36"/>
      <c r="C15" s="37"/>
      <c r="D15" s="15" t="s">
        <v>19</v>
      </c>
      <c r="E15" s="39">
        <f>H15/H26*E26</f>
        <v>196154.63211679045</v>
      </c>
      <c r="F15" s="39">
        <f>H15/H26*F26</f>
        <v>14303.159997684243</v>
      </c>
      <c r="G15" s="39">
        <f>H15/H26*G26</f>
        <v>32880.485485525351</v>
      </c>
      <c r="H15" s="39">
        <f>H14*22/100</f>
        <v>243338.27760000003</v>
      </c>
      <c r="I15" s="27">
        <f>H15/H26</f>
        <v>2.1411723843325121</v>
      </c>
    </row>
    <row r="16" spans="1:9" ht="30.5" customHeight="1">
      <c r="A16" s="40" t="s">
        <v>26</v>
      </c>
      <c r="B16" s="41"/>
      <c r="C16" s="42"/>
      <c r="D16" s="25" t="s">
        <v>19</v>
      </c>
      <c r="E16" s="26">
        <f>H16/H26*E26</f>
        <v>41887.37137096293</v>
      </c>
      <c r="F16" s="26">
        <f>H16/H26*F26</f>
        <v>3054.334063569725</v>
      </c>
      <c r="G16" s="26">
        <f>H16/H26*G26</f>
        <v>7021.3845654673405</v>
      </c>
      <c r="H16" s="25">
        <v>51963.09</v>
      </c>
      <c r="I16" s="27">
        <f>H16/H26</f>
        <v>0.45723153138889844</v>
      </c>
    </row>
    <row r="17" spans="1:9">
      <c r="A17" s="17" t="s">
        <v>27</v>
      </c>
      <c r="B17" s="18"/>
      <c r="C17" s="19"/>
      <c r="D17" s="25" t="s">
        <v>19</v>
      </c>
      <c r="E17" s="26">
        <f>H17/H27*E27</f>
        <v>3772.7900000000004</v>
      </c>
      <c r="F17" s="25">
        <f>H17/H27*F27</f>
        <v>3772.79</v>
      </c>
      <c r="G17" s="26">
        <f>H17/H27*G27</f>
        <v>3772.79</v>
      </c>
      <c r="H17" s="25">
        <v>3772.79</v>
      </c>
      <c r="I17" s="27">
        <f>H17/H26</f>
        <v>3.3197382013054312E-2</v>
      </c>
    </row>
    <row r="18" spans="1:9">
      <c r="A18" s="17" t="s">
        <v>28</v>
      </c>
      <c r="B18" s="18"/>
      <c r="C18" s="19"/>
      <c r="D18" s="20" t="s">
        <v>19</v>
      </c>
      <c r="E18" s="43">
        <f>H18/H26*E26</f>
        <v>4007070.7870643777</v>
      </c>
      <c r="F18" s="43">
        <f>H18/H26*F26</f>
        <v>292186.69970181334</v>
      </c>
      <c r="G18" s="43">
        <f>H18/H26*G26</f>
        <v>671686.57416714157</v>
      </c>
      <c r="H18" s="26">
        <f>H9+H13+H14+H15+H16+H17</f>
        <v>4970944.0609333329</v>
      </c>
      <c r="I18" s="27">
        <f>H18/H26</f>
        <v>43.74013103202865</v>
      </c>
    </row>
    <row r="19" spans="1:9">
      <c r="A19" s="22" t="s">
        <v>29</v>
      </c>
      <c r="B19" s="23"/>
      <c r="C19" s="24"/>
      <c r="D19" s="25" t="s">
        <v>19</v>
      </c>
      <c r="E19" s="43">
        <f>H19/H26*E26</f>
        <v>455115.25952496467</v>
      </c>
      <c r="F19" s="26">
        <f>H19/H26*F26</f>
        <v>33185.993642491958</v>
      </c>
      <c r="G19" s="26">
        <f>H19/H26*G26</f>
        <v>76288.846832543306</v>
      </c>
      <c r="H19" s="25">
        <f>H20+H22+H23</f>
        <v>564590.1</v>
      </c>
      <c r="I19" s="27">
        <f>H19/H26</f>
        <v>4.9679184981110884</v>
      </c>
    </row>
    <row r="20" spans="1:9">
      <c r="A20" s="28" t="s">
        <v>30</v>
      </c>
      <c r="B20" s="29"/>
      <c r="C20" s="30"/>
      <c r="D20" s="44" t="s">
        <v>19</v>
      </c>
      <c r="E20" s="32">
        <f>H20/H26*E26</f>
        <v>254620.17978370943</v>
      </c>
      <c r="F20" s="32">
        <f>H20/H26*F26</f>
        <v>18566.337846751187</v>
      </c>
      <c r="G20" s="32">
        <f>H20/H26*G26</f>
        <v>42680.792369539377</v>
      </c>
      <c r="H20" s="25">
        <f>175447.62+140419.69</f>
        <v>315867.31</v>
      </c>
      <c r="I20" s="27">
        <f>H20/H26</f>
        <v>2.7793669288526131</v>
      </c>
    </row>
    <row r="21" spans="1:9">
      <c r="A21" s="22" t="s">
        <v>31</v>
      </c>
      <c r="B21" s="23"/>
      <c r="C21" s="24"/>
      <c r="D21" s="25" t="s">
        <v>19</v>
      </c>
      <c r="E21" s="26">
        <f>E9+E13+E14+E15+E16+E20</f>
        <v>4258649.7263091849</v>
      </c>
      <c r="F21" s="26">
        <f>F9+F13+F14+F15+F16+F20</f>
        <v>310531.2770448745</v>
      </c>
      <c r="G21" s="26">
        <f>G9+G13+G14+G15+G16+G20</f>
        <v>713857.57757927396</v>
      </c>
      <c r="H21" s="26">
        <f>H9+H13+H14+H15+H16+H17+H20</f>
        <v>5286811.3709333325</v>
      </c>
      <c r="I21" s="27">
        <f>I9+I13+I14+I15+I16+I17+I20</f>
        <v>46.519497960881274</v>
      </c>
    </row>
    <row r="22" spans="1:9">
      <c r="A22" s="28" t="s">
        <v>32</v>
      </c>
      <c r="B22" s="29"/>
      <c r="C22" s="30"/>
      <c r="D22" s="44" t="s">
        <v>19</v>
      </c>
      <c r="E22" s="32">
        <f>H22/H26*E26</f>
        <v>83461.823346784149</v>
      </c>
      <c r="F22" s="32">
        <f>H22/H26*F26</f>
        <v>6085.8507400260751</v>
      </c>
      <c r="G22" s="32">
        <f>H22/H26*G26</f>
        <v>13990.315913189763</v>
      </c>
      <c r="H22" s="25">
        <f>57509.89+46028.1</f>
        <v>103537.98999999999</v>
      </c>
      <c r="I22" s="27">
        <f>H22/H26</f>
        <v>0.9110473169441704</v>
      </c>
    </row>
    <row r="23" spans="1:9">
      <c r="A23" s="28" t="s">
        <v>33</v>
      </c>
      <c r="B23" s="29"/>
      <c r="C23" s="30"/>
      <c r="D23" s="44" t="s">
        <v>19</v>
      </c>
      <c r="E23" s="32">
        <f>H23/H26*E26</f>
        <v>117033.25639447113</v>
      </c>
      <c r="F23" s="32">
        <f>H23/H26*F26</f>
        <v>8533.805055714698</v>
      </c>
      <c r="G23" s="32">
        <f>H23/H26*G26</f>
        <v>19617.738549814163</v>
      </c>
      <c r="H23" s="26">
        <f>80642.49+64542.31</f>
        <v>145184.79999999999</v>
      </c>
      <c r="I23" s="27">
        <f>H23/H26</f>
        <v>1.2775042523143052</v>
      </c>
    </row>
    <row r="24" spans="1:9">
      <c r="A24" s="22" t="s">
        <v>34</v>
      </c>
      <c r="B24" s="23"/>
      <c r="C24" s="24"/>
      <c r="D24" s="25" t="s">
        <v>35</v>
      </c>
      <c r="E24" s="26">
        <f>H24/H26*E26</f>
        <v>4462186.0465893429</v>
      </c>
      <c r="F24" s="26">
        <f>H24/H26*F26</f>
        <v>325372.69334430527</v>
      </c>
      <c r="G24" s="26">
        <f>H24/H26*G26</f>
        <v>747975.42099968484</v>
      </c>
      <c r="H24" s="26">
        <f>H18+H19</f>
        <v>5535534.1609333325</v>
      </c>
      <c r="I24" s="27">
        <f>H24/H26</f>
        <v>48.708049530139739</v>
      </c>
    </row>
    <row r="25" spans="1:9">
      <c r="A25" s="22"/>
      <c r="B25" s="23"/>
      <c r="C25" s="24"/>
      <c r="D25" s="25"/>
      <c r="E25" s="26"/>
      <c r="F25" s="26"/>
      <c r="G25" s="26"/>
      <c r="H25" s="26"/>
      <c r="I25" s="27"/>
    </row>
    <row r="26" spans="1:9">
      <c r="A26" s="22" t="s">
        <v>36</v>
      </c>
      <c r="B26" s="23"/>
      <c r="C26" s="24"/>
      <c r="D26" s="25" t="s">
        <v>37</v>
      </c>
      <c r="E26" s="26">
        <f>4544814.5/49.61</f>
        <v>91610.854666397907</v>
      </c>
      <c r="F26" s="26">
        <v>6680.06</v>
      </c>
      <c r="G26" s="26">
        <v>15356.3</v>
      </c>
      <c r="H26" s="26">
        <f>E26+F26+G26</f>
        <v>113647.21466639791</v>
      </c>
      <c r="I26" s="45">
        <f>H26</f>
        <v>113647.21466639791</v>
      </c>
    </row>
    <row r="27" spans="1:9">
      <c r="A27" s="22" t="s">
        <v>38</v>
      </c>
      <c r="B27" s="23"/>
      <c r="C27" s="24"/>
      <c r="D27" s="25" t="s">
        <v>39</v>
      </c>
      <c r="E27" s="26">
        <f>E24/E26</f>
        <v>48.708049530139746</v>
      </c>
      <c r="F27" s="26">
        <f>F24/F26</f>
        <v>48.708049530139739</v>
      </c>
      <c r="G27" s="26">
        <f>G24/G26</f>
        <v>48.708049530139739</v>
      </c>
      <c r="H27" s="26">
        <f>H24/H26</f>
        <v>48.708049530139739</v>
      </c>
      <c r="I27" s="33"/>
    </row>
    <row r="28" spans="1:9">
      <c r="A28" s="22" t="s">
        <v>40</v>
      </c>
      <c r="B28" s="23"/>
      <c r="C28" s="24"/>
      <c r="D28" s="25" t="s">
        <v>41</v>
      </c>
      <c r="E28" s="26">
        <v>2</v>
      </c>
      <c r="F28" s="26">
        <v>15</v>
      </c>
      <c r="G28" s="26">
        <v>25</v>
      </c>
      <c r="H28" s="26"/>
      <c r="I28" s="46"/>
    </row>
    <row r="29" spans="1:9">
      <c r="A29" s="22" t="s">
        <v>42</v>
      </c>
      <c r="B29" s="23"/>
      <c r="C29" s="24"/>
      <c r="D29" s="25" t="s">
        <v>43</v>
      </c>
      <c r="E29" s="26">
        <f>E27*E28/100</f>
        <v>0.97416099060279493</v>
      </c>
      <c r="F29" s="26">
        <f>F27*F28/100</f>
        <v>7.3062074295209607</v>
      </c>
      <c r="G29" s="26">
        <f>G27*G28/100</f>
        <v>12.177012382534935</v>
      </c>
      <c r="H29" s="26"/>
      <c r="I29" s="46"/>
    </row>
    <row r="30" spans="1:9">
      <c r="A30" s="22" t="s">
        <v>44</v>
      </c>
      <c r="B30" s="29"/>
      <c r="C30" s="30"/>
      <c r="D30" s="25" t="s">
        <v>39</v>
      </c>
      <c r="E30" s="32">
        <f>E27*1.02</f>
        <v>49.682210520742544</v>
      </c>
      <c r="F30" s="32">
        <f>F27*1.15</f>
        <v>56.014256959660699</v>
      </c>
      <c r="G30" s="32">
        <f>G27*1.25</f>
        <v>60.885061912674672</v>
      </c>
      <c r="H30" s="26"/>
      <c r="I30" s="46"/>
    </row>
    <row r="31" spans="1:9">
      <c r="A31" s="22" t="s">
        <v>45</v>
      </c>
      <c r="B31" s="23"/>
      <c r="C31" s="24"/>
      <c r="D31" s="25" t="s">
        <v>19</v>
      </c>
      <c r="E31" s="26">
        <f>E30*0.2</f>
        <v>9.9364421041485098</v>
      </c>
      <c r="F31" s="26">
        <f>F30*0.2</f>
        <v>11.202851391932141</v>
      </c>
      <c r="G31" s="26">
        <f>G30*0.2</f>
        <v>12.177012382534935</v>
      </c>
      <c r="H31" s="26"/>
      <c r="I31" s="46"/>
    </row>
    <row r="32" spans="1:9">
      <c r="A32" s="22" t="s">
        <v>46</v>
      </c>
      <c r="B32" s="23"/>
      <c r="C32" s="24"/>
      <c r="D32" s="25" t="s">
        <v>39</v>
      </c>
      <c r="E32" s="26">
        <f>E27+E29+E31</f>
        <v>59.618652624891055</v>
      </c>
      <c r="F32" s="26">
        <f>F27+F29+F31</f>
        <v>67.217108351592842</v>
      </c>
      <c r="G32" s="26">
        <f>G30*1.2</f>
        <v>73.062074295209598</v>
      </c>
      <c r="H32" s="26"/>
      <c r="I32" s="47"/>
    </row>
    <row r="33" spans="1:9">
      <c r="A33" s="22" t="s">
        <v>47</v>
      </c>
      <c r="B33" s="23"/>
      <c r="C33" s="24"/>
      <c r="D33" s="25" t="s">
        <v>19</v>
      </c>
      <c r="E33" s="26">
        <f>E26*E32</f>
        <v>5461715.7210253561</v>
      </c>
      <c r="F33" s="26">
        <f>F26*F32</f>
        <v>449014.3168151413</v>
      </c>
      <c r="G33" s="54">
        <f>G26*G32</f>
        <v>1121963.131499527</v>
      </c>
      <c r="H33" s="26">
        <f>SUM(E33:G33)</f>
        <v>7032693.1693400247</v>
      </c>
      <c r="I33" s="46"/>
    </row>
    <row r="34" spans="1:9" ht="15" thickBot="1">
      <c r="A34" s="48"/>
      <c r="B34" s="49"/>
      <c r="C34" s="50"/>
      <c r="D34" s="51"/>
      <c r="E34" s="52"/>
      <c r="F34" s="52"/>
      <c r="G34" s="51"/>
      <c r="H34" s="52"/>
      <c r="I34" s="53"/>
    </row>
  </sheetData>
  <mergeCells count="6">
    <mergeCell ref="A2:I2"/>
    <mergeCell ref="A3:I3"/>
    <mergeCell ref="A4:I4"/>
    <mergeCell ref="E6:G6"/>
    <mergeCell ref="A7:C7"/>
    <mergeCell ref="A16:C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2017-08-04T06:27:05Z</dcterms:modified>
</cp:coreProperties>
</file>